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3"/>
  <workbookPr publishItems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89606d84a6fb0f/Documents/Aviation/Abbotsinch Aviation/"/>
    </mc:Choice>
  </mc:AlternateContent>
  <xr:revisionPtr revIDLastSave="0" documentId="8_{0505C72A-F091-FE4D-8586-9611A2B49830}" xr6:coauthVersionLast="47" xr6:coauthVersionMax="47" xr10:uidLastSave="{00000000-0000-0000-0000-000000000000}"/>
  <bookViews>
    <workbookView xWindow="-98" yWindow="-98" windowWidth="22695" windowHeight="14476" xr2:uid="{704BE1F3-1898-4593-8FF5-6216CAD6FA92}"/>
  </bookViews>
  <sheets>
    <sheet name="Weight and Balance" sheetId="1" r:id="rId1"/>
    <sheet name="Base Data" sheetId="2" state="hidden" r:id="rId2"/>
    <sheet name="Pilots" sheetId="4" state="hidden" r:id="rId3"/>
  </sheets>
  <definedNames>
    <definedName name="_xlnm.Print_Area" localSheetId="0">'Weight and Balance'!$A$1:$F$40</definedName>
    <definedName name="WB" publishToServer="1">'Weight and Balance'!$A$1:$F$41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E8" i="1"/>
  <c r="C6" i="1"/>
  <c r="E6" i="1"/>
  <c r="C5" i="1"/>
  <c r="C7" i="1"/>
  <c r="E7" i="1"/>
  <c r="C9" i="1"/>
  <c r="B6" i="2"/>
  <c r="B8" i="2"/>
  <c r="B9" i="2"/>
  <c r="B5" i="2"/>
  <c r="B39" i="1"/>
  <c r="C13" i="1"/>
  <c r="B7" i="2"/>
  <c r="B10" i="2"/>
  <c r="C3" i="1"/>
  <c r="C10" i="1"/>
  <c r="E13" i="1"/>
  <c r="C11" i="1"/>
  <c r="E11" i="1"/>
  <c r="E5" i="1"/>
  <c r="E9" i="1"/>
  <c r="B11" i="2"/>
  <c r="B12" i="2"/>
  <c r="C12" i="1"/>
  <c r="C14" i="1"/>
  <c r="E3" i="1"/>
  <c r="E10" i="1"/>
  <c r="E12" i="1"/>
  <c r="E14" i="1"/>
  <c r="B13" i="2"/>
  <c r="B14" i="2"/>
  <c r="F10" i="1"/>
  <c r="F12" i="1"/>
  <c r="F14" i="1"/>
  <c r="B15" i="2"/>
  <c r="B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Tod</author>
  </authors>
  <commentList>
    <comment ref="A3" authorId="0" shapeId="0" xr:uid="{E988BA27-501E-4605-9E6C-49F28E53FDCD}">
      <text>
        <r>
          <rPr>
            <b/>
            <sz val="9"/>
            <color indexed="81"/>
            <rFont val="Tahoma"/>
            <family val="2"/>
          </rPr>
          <t>David Tod:</t>
        </r>
        <r>
          <rPr>
            <sz val="9"/>
            <color indexed="81"/>
            <rFont val="Tahoma"/>
            <family val="2"/>
          </rPr>
          <t xml:space="preserve">
If &lt; 8 then the difference between 8 and actual is removed from the BEM.</t>
        </r>
      </text>
    </comment>
    <comment ref="A4" authorId="0" shapeId="0" xr:uid="{1BBE611A-D188-4924-9F3C-D8FA028F3EA2}">
      <text>
        <r>
          <rPr>
            <b/>
            <sz val="9"/>
            <color indexed="81"/>
            <rFont val="Tahoma"/>
            <family val="2"/>
          </rPr>
          <t>David Tod:</t>
        </r>
        <r>
          <rPr>
            <sz val="9"/>
            <color indexed="81"/>
            <rFont val="Tahoma"/>
            <family val="2"/>
          </rPr>
          <t xml:space="preserve">
Supply the unit that the Pax and baggage weights will be in.</t>
        </r>
      </text>
    </comment>
  </commentList>
</comments>
</file>

<file path=xl/sharedStrings.xml><?xml version="1.0" encoding="utf-8"?>
<sst xmlns="http://schemas.openxmlformats.org/spreadsheetml/2006/main" count="48" uniqueCount="45">
  <si>
    <t>W&amp;B for G-EGPF</t>
  </si>
  <si>
    <t>Quantity</t>
  </si>
  <si>
    <t>Weight (lbs)</t>
  </si>
  <si>
    <t>Arm (inches)</t>
  </si>
  <si>
    <t>Moment (in-lb)</t>
  </si>
  <si>
    <t>C.G (in. aft datum)</t>
  </si>
  <si>
    <t>BEM</t>
  </si>
  <si>
    <r>
      <t xml:space="preserve">Oil (USQt)
</t>
    </r>
    <r>
      <rPr>
        <sz val="8"/>
        <color theme="1"/>
        <rFont val="Calibri"/>
        <family val="2"/>
        <scheme val="minor"/>
      </rPr>
      <t>(Insert actual amount IF less than 8)</t>
    </r>
  </si>
  <si>
    <r>
      <t xml:space="preserve">Pilot/Pax/Baggage Units -&gt;
</t>
    </r>
    <r>
      <rPr>
        <sz val="8"/>
        <color theme="1"/>
        <rFont val="Calibri"/>
        <family val="2"/>
        <scheme val="minor"/>
      </rPr>
      <t xml:space="preserve">(select input </t>
    </r>
    <r>
      <rPr>
        <b/>
        <sz val="8"/>
        <color theme="1"/>
        <rFont val="Calibri"/>
        <family val="2"/>
        <scheme val="minor"/>
      </rPr>
      <t>unit</t>
    </r>
    <r>
      <rPr>
        <sz val="8"/>
        <color theme="1"/>
        <rFont val="Calibri"/>
        <family val="2"/>
        <scheme val="minor"/>
      </rPr>
      <t xml:space="preserve"> from list. Then input the </t>
    </r>
    <r>
      <rPr>
        <b/>
        <sz val="8"/>
        <color theme="1"/>
        <rFont val="Calibri"/>
        <family val="2"/>
        <scheme val="minor"/>
      </rPr>
      <t>values</t>
    </r>
    <r>
      <rPr>
        <sz val="8"/>
        <color theme="1"/>
        <rFont val="Calibri"/>
        <family val="2"/>
        <scheme val="minor"/>
      </rPr>
      <t xml:space="preserve">.  All output is in </t>
    </r>
    <r>
      <rPr>
        <b/>
        <sz val="8"/>
        <color theme="1"/>
        <rFont val="Calibri"/>
        <family val="2"/>
        <scheme val="minor"/>
      </rPr>
      <t>lbs</t>
    </r>
    <r>
      <rPr>
        <sz val="8"/>
        <color theme="1"/>
        <rFont val="Calibri"/>
        <family val="2"/>
        <scheme val="minor"/>
      </rPr>
      <t>)</t>
    </r>
  </si>
  <si>
    <t>KG</t>
  </si>
  <si>
    <t xml:space="preserve">Pilot </t>
  </si>
  <si>
    <t>Front PAX</t>
  </si>
  <si>
    <t>Rear PAX 1</t>
  </si>
  <si>
    <t>Rear PAX 2</t>
  </si>
  <si>
    <t>Baggage</t>
  </si>
  <si>
    <t>SUB TOTAL = ZFM</t>
  </si>
  <si>
    <t>Fuel (USG)</t>
  </si>
  <si>
    <t>SUB TOTAL = TOM</t>
  </si>
  <si>
    <t>Fuel Burn (USG)</t>
  </si>
  <si>
    <t>SUB TOTAL = LM</t>
  </si>
  <si>
    <t>Date of completion</t>
  </si>
  <si>
    <t>Completed by</t>
  </si>
  <si>
    <t>David Tod</t>
  </si>
  <si>
    <t>Inches</t>
  </si>
  <si>
    <t>Weight</t>
  </si>
  <si>
    <t>Label</t>
  </si>
  <si>
    <t>C.O.G</t>
  </si>
  <si>
    <t>ZFM</t>
  </si>
  <si>
    <t>LM</t>
  </si>
  <si>
    <t>TOM</t>
  </si>
  <si>
    <t>MAX</t>
  </si>
  <si>
    <t>C.O.G Limits</t>
  </si>
  <si>
    <t>Aft</t>
  </si>
  <si>
    <t>Fwd</t>
  </si>
  <si>
    <t>Min</t>
  </si>
  <si>
    <t>Max</t>
  </si>
  <si>
    <t>Fuel</t>
  </si>
  <si>
    <t>Units</t>
  </si>
  <si>
    <t>LBS</t>
  </si>
  <si>
    <t>Alan Wilkinson</t>
  </si>
  <si>
    <t>Alex Brand</t>
  </si>
  <si>
    <t>Allan Falconer</t>
  </si>
  <si>
    <t>Drew Gibson</t>
  </si>
  <si>
    <t>Jason Morton</t>
  </si>
  <si>
    <t>Paul Monaghan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</si>
</sst>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1" fillId="8" borderId="3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0" fillId="7" borderId="7" xfId="0" quotePrefix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3" xfId="0" quotePrefix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22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22" fontId="0" fillId="0" borderId="16" xfId="0" applyNumberFormat="1" applyBorder="1" applyAlignment="1" applyProtection="1">
      <alignment horizontal="left" vertical="center"/>
      <protection locked="0"/>
    </xf>
    <xf numFmtId="22" fontId="0" fillId="0" borderId="17" xfId="0" applyNumberFormat="1" applyBorder="1" applyAlignment="1" applyProtection="1">
      <alignment horizontal="left" vertical="center"/>
      <protection locked="0"/>
    </xf>
    <xf numFmtId="0" fontId="0" fillId="7" borderId="8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C.G RANGE AND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'Base Data'!$A$1</c:f>
              <c:strCache>
                <c:ptCount val="1"/>
                <c:pt idx="0">
                  <c:v>Inches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E0-4D21-A01D-7C71D1C6BC81}"/>
                </c:ext>
              </c:extLst>
            </c:dLbl>
            <c:dLbl>
              <c:idx val="1"/>
              <c:layout>
                <c:manualLayout>
                  <c:x val="-5.1769049120802282E-2"/>
                  <c:y val="1.0652461892984418E-2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FWD LIMIT - </a:t>
                    </a:r>
                    <a:fld id="{C6F143F9-5C58-445F-B252-A7185721B1D9}" type="XVALUE">
                      <a:rPr lang="en-US"/>
                      <a:pPr>
                        <a:defRPr/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1E0-4D21-A01D-7C71D1C6BC8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584230C-7755-4358-BA11-D503EFBCEBDA}" type="YVALUE">
                      <a:rPr lang="en-US"/>
                      <a:pPr/>
                      <a:t>[Y VALUE]</a:t>
                    </a:fld>
                    <a:r>
                      <a:rPr lang="en-US"/>
                      <a:t> LB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1E0-4D21-A01D-7C71D1C6BC81}"/>
                </c:ext>
              </c:extLst>
            </c:dLbl>
            <c:dLbl>
              <c:idx val="16"/>
              <c:layout>
                <c:manualLayout>
                  <c:x val="-4.9515624688995778E-2"/>
                  <c:y val="-8.30797837017360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F.S. </a:t>
                    </a:r>
                    <a:fld id="{552B10DE-6723-4DF7-9554-BB182FB09F08}" type="XVALUE">
                      <a:rPr lang="en-US"/>
                      <a:pPr/>
                      <a:t>[X VALUE]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1E0-4D21-A01D-7C71D1C6BC81}"/>
                </c:ext>
              </c:extLst>
            </c:dLbl>
            <c:dLbl>
              <c:idx val="17"/>
              <c:layout>
                <c:manualLayout>
                  <c:x val="-0.27393937159282128"/>
                  <c:y val="0"/>
                </c:manualLayout>
              </c:layout>
              <c:tx>
                <c:rich>
                  <a:bodyPr/>
                  <a:lstStyle/>
                  <a:p>
                    <a:fld id="{1F09A106-C443-4E44-93F0-9450F7F255DD}" type="YVALUE">
                      <a:rPr lang="en-US"/>
                      <a:pPr/>
                      <a:t>[Y VALUE]</a:t>
                    </a:fld>
                    <a:r>
                      <a:rPr lang="en-US"/>
                      <a:t> LB MAX. WEIGHT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8B4-494E-8661-BA5A0C40E0B0}"/>
                </c:ext>
              </c:extLst>
            </c:dLbl>
            <c:dLbl>
              <c:idx val="24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AFT LIIMIT - </a:t>
                    </a:r>
                    <a:fld id="{08A78776-A963-4BC3-A106-B21ECE2C76A2}" type="XVALUE">
                      <a:rPr lang="en-US"/>
                      <a:pPr>
                        <a:defRPr/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8B4-494E-8661-BA5A0C40E0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'Base Data'!$A$2:$A$27</c:f>
              <c:numCache>
                <c:formatCode>General</c:formatCode>
                <c:ptCount val="26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83</c:v>
                </c:pt>
                <c:pt idx="4">
                  <c:v>83</c:v>
                </c:pt>
                <c:pt idx="5">
                  <c:v>84</c:v>
                </c:pt>
                <c:pt idx="6">
                  <c:v>84</c:v>
                </c:pt>
                <c:pt idx="7">
                  <c:v>85</c:v>
                </c:pt>
                <c:pt idx="8">
                  <c:v>85</c:v>
                </c:pt>
                <c:pt idx="9">
                  <c:v>86</c:v>
                </c:pt>
                <c:pt idx="10">
                  <c:v>86</c:v>
                </c:pt>
                <c:pt idx="11">
                  <c:v>87</c:v>
                </c:pt>
                <c:pt idx="12">
                  <c:v>87</c:v>
                </c:pt>
                <c:pt idx="13">
                  <c:v>88</c:v>
                </c:pt>
                <c:pt idx="14">
                  <c:v>88</c:v>
                </c:pt>
                <c:pt idx="15">
                  <c:v>88.9</c:v>
                </c:pt>
                <c:pt idx="16">
                  <c:v>88.9</c:v>
                </c:pt>
                <c:pt idx="17">
                  <c:v>89</c:v>
                </c:pt>
                <c:pt idx="18">
                  <c:v>89</c:v>
                </c:pt>
                <c:pt idx="19">
                  <c:v>90</c:v>
                </c:pt>
                <c:pt idx="20">
                  <c:v>90</c:v>
                </c:pt>
                <c:pt idx="21">
                  <c:v>91</c:v>
                </c:pt>
                <c:pt idx="22">
                  <c:v>91</c:v>
                </c:pt>
                <c:pt idx="23">
                  <c:v>91.5</c:v>
                </c:pt>
                <c:pt idx="24">
                  <c:v>91.5</c:v>
                </c:pt>
                <c:pt idx="25">
                  <c:v>91.5</c:v>
                </c:pt>
              </c:numCache>
            </c:numRef>
          </c:xVal>
          <c:yVal>
            <c:numRef>
              <c:f>'Base Data'!$B$2:$B$27</c:f>
              <c:numCache>
                <c:formatCode>General</c:formatCode>
                <c:ptCount val="26"/>
                <c:pt idx="0">
                  <c:v>0</c:v>
                </c:pt>
                <c:pt idx="1">
                  <c:v>2000</c:v>
                </c:pt>
                <c:pt idx="2">
                  <c:v>2375</c:v>
                </c:pt>
                <c:pt idx="3">
                  <c:v>2428.5714285714284</c:v>
                </c:pt>
                <c:pt idx="4">
                  <c:v>2428.5714285714284</c:v>
                </c:pt>
                <c:pt idx="5">
                  <c:v>2482.1428571428569</c:v>
                </c:pt>
                <c:pt idx="6">
                  <c:v>2482.1428571428569</c:v>
                </c:pt>
                <c:pt idx="7">
                  <c:v>2535.7142857142853</c:v>
                </c:pt>
                <c:pt idx="8">
                  <c:v>2535.7142857142853</c:v>
                </c:pt>
                <c:pt idx="9">
                  <c:v>2589.2857142857138</c:v>
                </c:pt>
                <c:pt idx="10">
                  <c:v>2589.2857142857138</c:v>
                </c:pt>
                <c:pt idx="11">
                  <c:v>2642.8571428571422</c:v>
                </c:pt>
                <c:pt idx="12">
                  <c:v>2642.8571428571422</c:v>
                </c:pt>
                <c:pt idx="13">
                  <c:v>2696.4285714285706</c:v>
                </c:pt>
                <c:pt idx="14">
                  <c:v>2696.4285714285706</c:v>
                </c:pt>
                <c:pt idx="15">
                  <c:v>2750</c:v>
                </c:pt>
                <c:pt idx="16">
                  <c:v>2750</c:v>
                </c:pt>
                <c:pt idx="17">
                  <c:v>2750</c:v>
                </c:pt>
                <c:pt idx="18">
                  <c:v>2750</c:v>
                </c:pt>
                <c:pt idx="19">
                  <c:v>2750</c:v>
                </c:pt>
                <c:pt idx="20">
                  <c:v>2750</c:v>
                </c:pt>
                <c:pt idx="21">
                  <c:v>2750</c:v>
                </c:pt>
                <c:pt idx="22">
                  <c:v>2750</c:v>
                </c:pt>
                <c:pt idx="23">
                  <c:v>2750</c:v>
                </c:pt>
                <c:pt idx="24">
                  <c:v>2000</c:v>
                </c:pt>
                <c:pt idx="2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E0-4D21-A01D-7C71D1C6BC81}"/>
            </c:ext>
          </c:extLst>
        </c:ser>
        <c:ser>
          <c:idx val="1"/>
          <c:order val="1"/>
          <c:tx>
            <c:strRef>
              <c:f>'Base Data'!$D$2</c:f>
              <c:strCache>
                <c:ptCount val="1"/>
                <c:pt idx="0">
                  <c:v>ZFM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12700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'Weight and Balance'!$F$10</c:f>
              <c:numCache>
                <c:formatCode>General</c:formatCode>
                <c:ptCount val="1"/>
                <c:pt idx="0">
                  <c:v>88.320654846693969</c:v>
                </c:pt>
              </c:numCache>
            </c:numRef>
          </c:xVal>
          <c:yVal>
            <c:numRef>
              <c:f>'Weight and Balance'!$C$10</c:f>
              <c:numCache>
                <c:formatCode>General</c:formatCode>
                <c:ptCount val="1"/>
                <c:pt idx="0">
                  <c:v>2474.6249999999995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1E0-4D21-A01D-7C71D1C6BC81}"/>
            </c:ext>
          </c:extLst>
        </c:ser>
        <c:ser>
          <c:idx val="2"/>
          <c:order val="2"/>
          <c:tx>
            <c:strRef>
              <c:f>'Base Data'!$D$3</c:f>
              <c:strCache>
                <c:ptCount val="1"/>
                <c:pt idx="0">
                  <c:v>LM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'Weight and Balance'!$F$14</c:f>
              <c:numCache>
                <c:formatCode>General</c:formatCode>
                <c:ptCount val="1"/>
                <c:pt idx="0">
                  <c:v>88.773555775297851</c:v>
                </c:pt>
              </c:numCache>
            </c:numRef>
          </c:xVal>
          <c:yVal>
            <c:numRef>
              <c:f>'Weight and Balance'!$C$14</c:f>
              <c:numCache>
                <c:formatCode>General</c:formatCode>
                <c:ptCount val="1"/>
                <c:pt idx="0">
                  <c:v>2654.6249999999995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1E0-4D21-A01D-7C71D1C6BC81}"/>
            </c:ext>
          </c:extLst>
        </c:ser>
        <c:ser>
          <c:idx val="3"/>
          <c:order val="3"/>
          <c:tx>
            <c:strRef>
              <c:f>'Base Data'!$D$4</c:f>
              <c:strCache>
                <c:ptCount val="1"/>
                <c:pt idx="0">
                  <c:v>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12700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'Weight and Balance'!$F$12</c:f>
              <c:numCache>
                <c:formatCode>General</c:formatCode>
                <c:ptCount val="1"/>
                <c:pt idx="0">
                  <c:v>88.91117576092465</c:v>
                </c:pt>
              </c:numCache>
            </c:numRef>
          </c:xVal>
          <c:yVal>
            <c:numRef>
              <c:f>'Weight and Balance'!$C$12</c:f>
              <c:numCache>
                <c:formatCode>General</c:formatCode>
                <c:ptCount val="1"/>
                <c:pt idx="0">
                  <c:v>2714.6249999999995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1E0-4D21-A01D-7C71D1C6B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777544"/>
        <c:axId val="733798664"/>
      </c:scatterChart>
      <c:valAx>
        <c:axId val="733777544"/>
        <c:scaling>
          <c:orientation val="minMax"/>
          <c:max val="9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INCHES AFT OF DATUM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798664"/>
        <c:crosses val="autoZero"/>
        <c:crossBetween val="midCat"/>
      </c:valAx>
      <c:valAx>
        <c:axId val="733798664"/>
        <c:scaling>
          <c:orientation val="minMax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WEIGHT - LB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777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15</xdr:row>
      <xdr:rowOff>14286</xdr:rowOff>
    </xdr:from>
    <xdr:to>
      <xdr:col>5</xdr:col>
      <xdr:colOff>1143000</xdr:colOff>
      <xdr:row>36</xdr:row>
      <xdr:rowOff>166686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B9D5A0-4A3E-4C5A-865C-D0E0FEB04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30D2-7AD7-4EDB-A1E4-3422583947CA}">
  <sheetPr published="0"/>
  <dimension ref="A1:F40"/>
  <sheetViews>
    <sheetView tabSelected="1" workbookViewId="0">
      <selection activeCell="B7" sqref="B7"/>
    </sheetView>
  </sheetViews>
  <sheetFormatPr defaultRowHeight="15" x14ac:dyDescent="0.2"/>
  <cols>
    <col min="1" max="1" width="24.34765625" customWidth="1"/>
    <col min="2" max="2" width="8.609375" style="1" customWidth="1"/>
    <col min="3" max="3" width="11.43359375" customWidth="1"/>
    <col min="4" max="4" width="11.56640625" customWidth="1"/>
    <col min="5" max="5" width="14.125" customWidth="1"/>
    <col min="6" max="6" width="16.41015625" customWidth="1"/>
    <col min="8" max="8" width="11.703125" customWidth="1"/>
  </cols>
  <sheetData>
    <row r="1" spans="1:6" s="2" customFormat="1" ht="21" x14ac:dyDescent="0.2">
      <c r="A1" s="16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</row>
    <row r="2" spans="1:6" ht="26.25" customHeight="1" x14ac:dyDescent="0.2">
      <c r="A2" s="44" t="s">
        <v>6</v>
      </c>
      <c r="B2" s="45"/>
      <c r="C2" s="23">
        <v>1773</v>
      </c>
      <c r="D2" s="23">
        <v>85.07</v>
      </c>
      <c r="E2" s="23">
        <v>150835.70000000001</v>
      </c>
      <c r="F2" s="40"/>
    </row>
    <row r="3" spans="1:6" ht="31.9" customHeight="1" thickBot="1" x14ac:dyDescent="0.25">
      <c r="A3" s="18" t="s">
        <v>7</v>
      </c>
      <c r="B3" s="4">
        <v>6</v>
      </c>
      <c r="C3" s="24">
        <f>IF(B3 &gt; 0, ((8*7.5) -(B3*7.5))*-1, 0)</f>
        <v>-15</v>
      </c>
      <c r="D3" s="25">
        <v>82.6</v>
      </c>
      <c r="E3" s="25">
        <f>C3*D3</f>
        <v>-1239</v>
      </c>
      <c r="F3" s="41"/>
    </row>
    <row r="4" spans="1:6" ht="40.9" customHeight="1" x14ac:dyDescent="0.2">
      <c r="A4" s="19" t="s">
        <v>8</v>
      </c>
      <c r="B4" s="21" t="s">
        <v>9</v>
      </c>
      <c r="C4" s="27"/>
      <c r="D4" s="28"/>
      <c r="E4" s="29"/>
      <c r="F4" s="42"/>
    </row>
    <row r="5" spans="1:6" ht="22.5" customHeight="1" x14ac:dyDescent="0.2">
      <c r="A5" s="11" t="s">
        <v>10</v>
      </c>
      <c r="B5" s="3">
        <v>100</v>
      </c>
      <c r="C5" s="23">
        <f>IF(B4='Base Data'!D19,'Weight and Balance'!B5, 'Weight and Balance'!B5*2.205)</f>
        <v>220.5</v>
      </c>
      <c r="D5" s="23">
        <v>80.5</v>
      </c>
      <c r="E5" s="30">
        <f>C5*D5</f>
        <v>17750.25</v>
      </c>
      <c r="F5" s="42"/>
    </row>
    <row r="6" spans="1:6" ht="22.5" customHeight="1" x14ac:dyDescent="0.2">
      <c r="A6" s="11" t="s">
        <v>11</v>
      </c>
      <c r="B6" s="3">
        <v>89</v>
      </c>
      <c r="C6" s="23">
        <f>IF(B4='Base Data'!D19,'Weight and Balance'!B6, 'Weight and Balance'!B6*2.205)</f>
        <v>196.245</v>
      </c>
      <c r="D6" s="23">
        <v>80.5</v>
      </c>
      <c r="E6" s="30">
        <f>C6*D6</f>
        <v>15797.7225</v>
      </c>
      <c r="F6" s="42"/>
    </row>
    <row r="7" spans="1:6" ht="24.75" customHeight="1" x14ac:dyDescent="0.2">
      <c r="A7" s="11" t="s">
        <v>12</v>
      </c>
      <c r="B7" s="3">
        <v>71</v>
      </c>
      <c r="C7" s="23">
        <f>IF(B4='Base Data'!D19,'Weight and Balance'!B7, 'Weight and Balance'!B7*2.205)</f>
        <v>156.55500000000001</v>
      </c>
      <c r="D7" s="23">
        <v>118.1</v>
      </c>
      <c r="E7" s="30">
        <f>C7*D7</f>
        <v>18489.145499999999</v>
      </c>
      <c r="F7" s="42"/>
    </row>
    <row r="8" spans="1:6" ht="24.75" customHeight="1" x14ac:dyDescent="0.2">
      <c r="A8" s="12" t="s">
        <v>13</v>
      </c>
      <c r="B8" s="4">
        <v>65</v>
      </c>
      <c r="C8" s="23">
        <f>IF(B4='Base Data'!D19,'Weight and Balance'!B8, 'Weight and Balance'!B8*2.205)</f>
        <v>143.32500000000002</v>
      </c>
      <c r="D8" s="23">
        <v>118.1</v>
      </c>
      <c r="E8" s="30">
        <f>C8*D8</f>
        <v>16926.682500000003</v>
      </c>
      <c r="F8" s="42"/>
    </row>
    <row r="9" spans="1:6" ht="24.75" customHeight="1" thickBot="1" x14ac:dyDescent="0.25">
      <c r="A9" s="20" t="s">
        <v>14</v>
      </c>
      <c r="B9" s="22">
        <v>0</v>
      </c>
      <c r="C9" s="31">
        <f>IF(B4='Base Data'!D19,'Weight and Balance'!B9, 'Weight and Balance'!B9*2.205)</f>
        <v>0</v>
      </c>
      <c r="D9" s="31">
        <v>142.80000000000001</v>
      </c>
      <c r="E9" s="32">
        <f>C9*D9</f>
        <v>0</v>
      </c>
      <c r="F9" s="43"/>
    </row>
    <row r="10" spans="1:6" ht="15.75" thickBot="1" x14ac:dyDescent="0.25">
      <c r="A10" s="8" t="s">
        <v>15</v>
      </c>
      <c r="B10" s="7"/>
      <c r="C10" s="33">
        <f>SUM(C2:C9)</f>
        <v>2474.6249999999995</v>
      </c>
      <c r="D10" s="33"/>
      <c r="E10" s="33">
        <f>SUM(E2:E9)</f>
        <v>218560.50050000002</v>
      </c>
      <c r="F10" s="34">
        <f>E10/C10</f>
        <v>88.320654846693969</v>
      </c>
    </row>
    <row r="11" spans="1:6" ht="29.25" customHeight="1" thickBot="1" x14ac:dyDescent="0.25">
      <c r="A11" s="5" t="s">
        <v>16</v>
      </c>
      <c r="B11" s="6">
        <v>40</v>
      </c>
      <c r="C11" s="35">
        <f>B11*6</f>
        <v>240</v>
      </c>
      <c r="D11" s="35">
        <v>95</v>
      </c>
      <c r="E11" s="35">
        <f>C11*D11</f>
        <v>22800</v>
      </c>
      <c r="F11" s="26"/>
    </row>
    <row r="12" spans="1:6" ht="15.75" thickBot="1" x14ac:dyDescent="0.25">
      <c r="A12" s="9" t="s">
        <v>17</v>
      </c>
      <c r="B12" s="17"/>
      <c r="C12" s="33">
        <f>C10+C11</f>
        <v>2714.6249999999995</v>
      </c>
      <c r="D12" s="33"/>
      <c r="E12" s="33">
        <f>E10+E11</f>
        <v>241360.50050000002</v>
      </c>
      <c r="F12" s="34">
        <f>E12/C12</f>
        <v>88.91117576092465</v>
      </c>
    </row>
    <row r="13" spans="1:6" ht="29.25" customHeight="1" thickBot="1" x14ac:dyDescent="0.25">
      <c r="A13" s="5" t="s">
        <v>18</v>
      </c>
      <c r="B13" s="6">
        <v>10</v>
      </c>
      <c r="C13" s="35">
        <f>IF(B13 &lt; 0, B13*6, B13*6*-1)</f>
        <v>-60</v>
      </c>
      <c r="D13" s="35">
        <v>95</v>
      </c>
      <c r="E13" s="35">
        <f>C13*D13</f>
        <v>-5700</v>
      </c>
      <c r="F13" s="26"/>
    </row>
    <row r="14" spans="1:6" ht="15.75" thickBot="1" x14ac:dyDescent="0.25">
      <c r="A14" s="10" t="s">
        <v>19</v>
      </c>
      <c r="B14" s="17"/>
      <c r="C14" s="33">
        <f>SUM(C12:C13)</f>
        <v>2654.6249999999995</v>
      </c>
      <c r="D14" s="33"/>
      <c r="E14" s="33">
        <f>SUM(E12:E13)</f>
        <v>235660.50050000002</v>
      </c>
      <c r="F14" s="34">
        <f>E14/C14</f>
        <v>88.773555775297851</v>
      </c>
    </row>
    <row r="39" spans="1:3" x14ac:dyDescent="0.2">
      <c r="A39" s="13" t="s">
        <v>20</v>
      </c>
      <c r="B39" s="36">
        <f ca="1">NOW()</f>
        <v>45125.425044791664</v>
      </c>
      <c r="C39" s="37"/>
    </row>
    <row r="40" spans="1:3" x14ac:dyDescent="0.2">
      <c r="A40" s="13" t="s">
        <v>21</v>
      </c>
      <c r="B40" s="38" t="s">
        <v>43</v>
      </c>
      <c r="C40" s="39"/>
    </row>
  </sheetData>
  <sheetProtection algorithmName="SHA-512" hashValue="I5m9UzbPm1P6ov4QXmQFX5htXFdnahHetk196yKDLiCy0zdYCzR0WFPLxW+wWxi9y6h+3eO4prR+cWjoHgLGLA==" saltValue="1zdTggdG4oHBsLqVpRNGkw==" spinCount="100000" sheet="1" objects="1" scenarios="1" selectLockedCells="1"/>
  <mergeCells count="4">
    <mergeCell ref="B39:C39"/>
    <mergeCell ref="B40:C40"/>
    <mergeCell ref="F2:F9"/>
    <mergeCell ref="A2:B2"/>
  </mergeCells>
  <conditionalFormatting sqref="B3">
    <cfRule type="cellIs" dxfId="8" priority="9" operator="greaterThan">
      <formula>8</formula>
    </cfRule>
    <cfRule type="cellIs" dxfId="7" priority="8" operator="lessThan">
      <formula>4</formula>
    </cfRule>
  </conditionalFormatting>
  <conditionalFormatting sqref="B13">
    <cfRule type="cellIs" dxfId="4" priority="3" operator="greaterThan">
      <formula>$B$11</formula>
    </cfRule>
  </conditionalFormatting>
  <pageMargins left="0.7" right="0.7" top="0.75" bottom="0.75" header="0.3" footer="0.3"/>
  <pageSetup paperSize="9" orientation="portrait" horizontalDpi="4294967293" r:id="rId1"/>
  <ignoredErrors>
    <ignoredError sqref="E10 E12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BE55D7E2-ECD9-43C8-A721-8D4D03B507B8}">
            <xm:f>'Base Data'!$E$13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greaterThan" id="{317A49D4-A57A-4F33-9D51-77C44481DD9F}">
            <xm:f>'Base Data'!$F$13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ellIs" priority="11" operator="greaterThan" id="{9344A193-9EC4-42BF-A82A-A212C0B0D5BE}">
            <xm:f>'Base Data'!$F$5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ellIs" priority="10" operator="greaterThan" id="{91CD4D90-74CC-4AE4-9CC0-31D0D5A00A5E}">
            <xm:f>'Base Data'!$F$5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cellIs" priority="6" operator="lessThan" id="{87CB9EC6-28C3-4A9B-A6A3-5983751EE0B6}">
            <xm:f>'Base Data'!$E$10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greaterThan" id="{8AAD1F52-CD9C-46CD-9F50-8A57430AB15F}">
            <xm:f>'Base Data'!$E$9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F10 F12 F14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625F9E-7331-4911-8B7D-1CFED75C14B6}">
          <x14:formula1>
            <xm:f>Pilots!$A$1:$A$7</xm:f>
          </x14:formula1>
          <xm:sqref>B40:C40</xm:sqref>
        </x14:dataValidation>
        <x14:dataValidation type="list" allowBlank="1" showInputMessage="1" showErrorMessage="1" xr:uid="{284C64D3-895A-4BE4-95CA-435D1A31FE9C}">
          <x14:formula1>
            <xm:f>'Base Data'!$D$18:$D$19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553B-64C9-4A04-B697-CD220B66F1C6}">
  <dimension ref="A1:F27"/>
  <sheetViews>
    <sheetView workbookViewId="0">
      <selection activeCell="D18" sqref="D18:D19"/>
    </sheetView>
  </sheetViews>
  <sheetFormatPr defaultRowHeight="15" x14ac:dyDescent="0.2"/>
  <cols>
    <col min="1" max="1" width="13.85546875" customWidth="1"/>
    <col min="2" max="2" width="13.5859375" customWidth="1"/>
  </cols>
  <sheetData>
    <row r="1" spans="1:6" x14ac:dyDescent="0.2">
      <c r="A1" t="s">
        <v>23</v>
      </c>
      <c r="B1" t="s">
        <v>24</v>
      </c>
      <c r="D1" t="s">
        <v>25</v>
      </c>
      <c r="E1" t="s">
        <v>26</v>
      </c>
      <c r="F1" t="s">
        <v>24</v>
      </c>
    </row>
    <row r="2" spans="1:6" x14ac:dyDescent="0.2">
      <c r="A2">
        <v>82</v>
      </c>
      <c r="B2">
        <v>0</v>
      </c>
      <c r="D2" t="s">
        <v>27</v>
      </c>
    </row>
    <row r="3" spans="1:6" x14ac:dyDescent="0.2">
      <c r="A3">
        <v>82</v>
      </c>
      <c r="B3">
        <v>2000</v>
      </c>
      <c r="D3" t="s">
        <v>28</v>
      </c>
    </row>
    <row r="4" spans="1:6" x14ac:dyDescent="0.2">
      <c r="A4">
        <v>82</v>
      </c>
      <c r="B4">
        <v>2375</v>
      </c>
      <c r="D4" t="s">
        <v>29</v>
      </c>
    </row>
    <row r="5" spans="1:6" x14ac:dyDescent="0.2">
      <c r="A5">
        <v>83</v>
      </c>
      <c r="B5">
        <f>B4+53.5714285714285</f>
        <v>2428.5714285714284</v>
      </c>
      <c r="D5" t="s">
        <v>30</v>
      </c>
      <c r="E5">
        <v>88.9</v>
      </c>
      <c r="F5">
        <v>2750</v>
      </c>
    </row>
    <row r="6" spans="1:6" x14ac:dyDescent="0.2">
      <c r="A6">
        <v>83</v>
      </c>
      <c r="B6">
        <f>B4+53.5714285714285</f>
        <v>2428.5714285714284</v>
      </c>
    </row>
    <row r="7" spans="1:6" x14ac:dyDescent="0.2">
      <c r="A7">
        <v>84</v>
      </c>
      <c r="B7">
        <f t="shared" ref="B7" si="0">B6+53.5714285714285</f>
        <v>2482.1428571428569</v>
      </c>
    </row>
    <row r="8" spans="1:6" x14ac:dyDescent="0.2">
      <c r="A8">
        <v>84</v>
      </c>
      <c r="B8">
        <f t="shared" ref="B8" si="1">B6+53.5714285714285</f>
        <v>2482.1428571428569</v>
      </c>
      <c r="D8" t="s">
        <v>31</v>
      </c>
    </row>
    <row r="9" spans="1:6" x14ac:dyDescent="0.2">
      <c r="A9">
        <v>85</v>
      </c>
      <c r="B9">
        <f t="shared" ref="B9" si="2">B8+53.5714285714285</f>
        <v>2535.7142857142853</v>
      </c>
      <c r="D9" t="s">
        <v>32</v>
      </c>
      <c r="E9">
        <v>91.5</v>
      </c>
    </row>
    <row r="10" spans="1:6" x14ac:dyDescent="0.2">
      <c r="A10">
        <v>85</v>
      </c>
      <c r="B10">
        <f t="shared" ref="B10" si="3">B8+53.5714285714285</f>
        <v>2535.7142857142853</v>
      </c>
      <c r="D10" t="s">
        <v>33</v>
      </c>
      <c r="E10">
        <v>82</v>
      </c>
    </row>
    <row r="11" spans="1:6" x14ac:dyDescent="0.2">
      <c r="A11">
        <v>86</v>
      </c>
      <c r="B11">
        <f t="shared" ref="B11" si="4">B10+53.5714285714285</f>
        <v>2589.2857142857138</v>
      </c>
    </row>
    <row r="12" spans="1:6" x14ac:dyDescent="0.2">
      <c r="A12">
        <v>86</v>
      </c>
      <c r="B12">
        <f t="shared" ref="B12" si="5">B10+53.5714285714285</f>
        <v>2589.2857142857138</v>
      </c>
      <c r="E12" t="s">
        <v>34</v>
      </c>
      <c r="F12" t="s">
        <v>35</v>
      </c>
    </row>
    <row r="13" spans="1:6" x14ac:dyDescent="0.2">
      <c r="A13">
        <v>87</v>
      </c>
      <c r="B13">
        <f t="shared" ref="B13" si="6">B12+53.5714285714285</f>
        <v>2642.8571428571422</v>
      </c>
      <c r="D13" t="s">
        <v>36</v>
      </c>
      <c r="E13">
        <v>0</v>
      </c>
      <c r="F13">
        <v>72</v>
      </c>
    </row>
    <row r="14" spans="1:6" x14ac:dyDescent="0.2">
      <c r="A14">
        <v>87</v>
      </c>
      <c r="B14">
        <f t="shared" ref="B14" si="7">B12+53.5714285714285</f>
        <v>2642.8571428571422</v>
      </c>
    </row>
    <row r="15" spans="1:6" x14ac:dyDescent="0.2">
      <c r="A15">
        <v>88</v>
      </c>
      <c r="B15">
        <f t="shared" ref="B15" si="8">B14+53.5714285714285</f>
        <v>2696.4285714285706</v>
      </c>
    </row>
    <row r="16" spans="1:6" x14ac:dyDescent="0.2">
      <c r="A16">
        <v>88</v>
      </c>
      <c r="B16">
        <f t="shared" ref="B16" si="9">B14+53.5714285714285</f>
        <v>2696.4285714285706</v>
      </c>
    </row>
    <row r="17" spans="1:4" x14ac:dyDescent="0.2">
      <c r="A17">
        <v>88.9</v>
      </c>
      <c r="B17">
        <v>2750</v>
      </c>
      <c r="D17" t="s">
        <v>37</v>
      </c>
    </row>
    <row r="18" spans="1:4" x14ac:dyDescent="0.2">
      <c r="A18">
        <v>88.9</v>
      </c>
      <c r="B18">
        <v>2750</v>
      </c>
      <c r="D18" t="s">
        <v>9</v>
      </c>
    </row>
    <row r="19" spans="1:4" x14ac:dyDescent="0.2">
      <c r="A19">
        <v>89</v>
      </c>
      <c r="B19">
        <v>2750</v>
      </c>
      <c r="D19" t="s">
        <v>38</v>
      </c>
    </row>
    <row r="20" spans="1:4" x14ac:dyDescent="0.2">
      <c r="A20">
        <v>89</v>
      </c>
      <c r="B20">
        <v>2750</v>
      </c>
    </row>
    <row r="21" spans="1:4" x14ac:dyDescent="0.2">
      <c r="A21">
        <v>90</v>
      </c>
      <c r="B21">
        <v>2750</v>
      </c>
    </row>
    <row r="22" spans="1:4" x14ac:dyDescent="0.2">
      <c r="A22">
        <v>90</v>
      </c>
      <c r="B22">
        <v>2750</v>
      </c>
    </row>
    <row r="23" spans="1:4" x14ac:dyDescent="0.2">
      <c r="A23">
        <v>91</v>
      </c>
      <c r="B23">
        <v>2750</v>
      </c>
    </row>
    <row r="24" spans="1:4" x14ac:dyDescent="0.2">
      <c r="A24">
        <v>91</v>
      </c>
      <c r="B24">
        <v>2750</v>
      </c>
    </row>
    <row r="25" spans="1:4" x14ac:dyDescent="0.2">
      <c r="A25">
        <v>91.5</v>
      </c>
      <c r="B25">
        <v>2750</v>
      </c>
    </row>
    <row r="26" spans="1:4" x14ac:dyDescent="0.2">
      <c r="A26">
        <v>91.5</v>
      </c>
      <c r="B26">
        <v>2000</v>
      </c>
    </row>
    <row r="27" spans="1:4" x14ac:dyDescent="0.2">
      <c r="A27">
        <v>91.5</v>
      </c>
      <c r="B27">
        <v>0</v>
      </c>
    </row>
  </sheetData>
  <sheetProtection algorithmName="SHA-512" hashValue="/Ssenp0X71S6tzDTw608m/zwZ0o6+Klk8awbRZ1atjHfwnXj7rZhUKgnptiZlk61Pp+WiSBFQbq8qRgoCsiAEw==" saltValue="8BzrHI4xiUQJntVGJyjTLA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B364A-6047-47E6-A4EE-4021396D72B1}">
  <dimension ref="A1:A7"/>
  <sheetViews>
    <sheetView workbookViewId="0">
      <selection activeCell="C33" sqref="C33"/>
    </sheetView>
  </sheetViews>
  <sheetFormatPr defaultRowHeight="15" x14ac:dyDescent="0.2"/>
  <cols>
    <col min="1" max="1" width="14.125" customWidth="1"/>
  </cols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22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</sheetData>
  <sortState xmlns:xlrd2="http://schemas.microsoft.com/office/spreadsheetml/2017/richdata2" ref="A1:A9">
    <sortCondition ref="A1:A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Weight and Balance</vt:lpstr>
      <vt:lpstr>Base Data</vt:lpstr>
      <vt:lpstr>Pilots</vt:lpstr>
      <vt:lpstr>Weight and Balance!Print_Area</vt:lpstr>
      <vt:lpstr>WB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Tod</dc:creator>
  <cp:keywords/>
  <dc:description/>
  <cp:lastModifiedBy>David Tod</cp:lastModifiedBy>
  <cp:revision/>
  <dcterms:created xsi:type="dcterms:W3CDTF">2022-11-04T10:19:22Z</dcterms:created>
  <dcterms:modified xsi:type="dcterms:W3CDTF">2022-11-11T11:23:44Z</dcterms:modified>
  <cp:category/>
  <cp:contentStatus/>
</cp:coreProperties>
</file>